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802" activeTab="0"/>
  </bookViews>
  <sheets>
    <sheet name="ПРАЙС МЕД.ПРОДУКЦИЯ" sheetId="1" r:id="rId1"/>
    <sheet name="КАЛЬКУЛЯТОР" sheetId="2" r:id="rId2"/>
  </sheets>
  <definedNames>
    <definedName name="_xlnm.Print_Area" localSheetId="0">'ПРАЙС МЕД.ПРОДУКЦИЯ'!$A$1:$H$44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16"/>
            <color indexed="8"/>
            <rFont val="Tahoma"/>
            <family val="2"/>
          </rPr>
          <t>НЕ ИЗМЕНЯЙТЕ
СОДЕРЖИМОЕ ЯЧЕЕК</t>
        </r>
      </text>
    </comment>
  </commentList>
</comments>
</file>

<file path=xl/sharedStrings.xml><?xml version="1.0" encoding="utf-8"?>
<sst xmlns="http://schemas.openxmlformats.org/spreadsheetml/2006/main" count="216" uniqueCount="111">
  <si>
    <t>ООО "Фирма "Ювента" Юридический адрес:153021 г.Иваново, 1-я Районная,д.78 тел.(4932)33-95-87, 38-41-44, ИНН 3702081542, КПП 370201001 Р/с 40702810017000160171 в Ивановское ОСБ № 8639 г.Иваново К/с 30101810000000000608, БИК 042406608, WWW.OOOUVENTA.RU, E-Mail: Ivuventa@mail.ru, Директор  Петрова Ольга Валерьевна</t>
  </si>
  <si>
    <t>Коммерческое предложение</t>
  </si>
  <si>
    <t>№</t>
  </si>
  <si>
    <t>Наименование продукции</t>
  </si>
  <si>
    <t>ед. изм.</t>
  </si>
  <si>
    <t>Цена.</t>
  </si>
  <si>
    <t>Упаковка</t>
  </si>
  <si>
    <t>Вес</t>
  </si>
  <si>
    <t>Объем</t>
  </si>
  <si>
    <t>Марля медицинская хлопчатобумажная нестерильная. Упаковка — рулон 1000м х 90см.</t>
  </si>
  <si>
    <t>28 гр. ТУ</t>
  </si>
  <si>
    <t>п.м</t>
  </si>
  <si>
    <t>Рулон - 1000 п.м.</t>
  </si>
  <si>
    <t>32гр. ТУ</t>
  </si>
  <si>
    <t>36гр ГОСТ</t>
  </si>
  <si>
    <t>39 гр.</t>
  </si>
  <si>
    <t>48-50 гр.</t>
  </si>
  <si>
    <t>п.м.</t>
  </si>
  <si>
    <t>Рулон — 200 п.м.</t>
  </si>
  <si>
    <t xml:space="preserve">ВАТА </t>
  </si>
  <si>
    <t>52 гр. (Экстра)</t>
  </si>
  <si>
    <t>Рулон - 200 п.м.</t>
  </si>
  <si>
    <t>Бумажный крафт мешок.</t>
  </si>
  <si>
    <t>П/проп.мешок. Бум.пачка</t>
  </si>
  <si>
    <t>52 гр. (Экстра) ТУ</t>
  </si>
  <si>
    <t>Отрез марлевый мед. нест. 1000 м х 10 см ТУ 9393-001-79084141-2011(Минимум - 8 штук)</t>
  </si>
  <si>
    <t>28 / 32 / 36</t>
  </si>
  <si>
    <t>шт</t>
  </si>
  <si>
    <t>Бум.уп. + П/проп.мешок</t>
  </si>
  <si>
    <t>Отрез марлевый мед. нест. 1000 м х 15 см ТУ 9393-001-79084141-2011(Минимум - 6 штук)</t>
  </si>
  <si>
    <t>Отрез марлевый мед. нест. 1000 м х 30 см ТУ 9393-001-79084141-2011(Минимум - 3 штуки)</t>
  </si>
  <si>
    <t>Отрез марлевый мед. нест. 1000 м х 45 см ТУ 9393-001-79084141-2011(Минимум - 2 штуки)</t>
  </si>
  <si>
    <t>5 м х 5 см</t>
  </si>
  <si>
    <t>4 м х 10 см</t>
  </si>
  <si>
    <t>5 м х 8,5 см</t>
  </si>
  <si>
    <t>5 м х 10 см</t>
  </si>
  <si>
    <t>7 м х 10 см</t>
  </si>
  <si>
    <t>7 м х 12 см</t>
  </si>
  <si>
    <t>7 м х 14 см</t>
  </si>
  <si>
    <t>Картонный короб - 500 шт.</t>
  </si>
  <si>
    <t>Картонный короб - 250 шт.</t>
  </si>
  <si>
    <t>Салфетки марлевые мед.стер. № 10</t>
  </si>
  <si>
    <t>Картонный короб - 300 шт.</t>
  </si>
  <si>
    <t>Салфетки марлевые мед.стер. № 5</t>
  </si>
  <si>
    <t>Картонный короб - 100 шт.</t>
  </si>
  <si>
    <t>Вата хирургическая гигроскопическая нестерильная, Производство - ООО "фирма "Ювента", г.Иваново</t>
  </si>
  <si>
    <t>250гр</t>
  </si>
  <si>
    <t>кг</t>
  </si>
  <si>
    <t>Мешок по 10, 11, 12 кг</t>
  </si>
  <si>
    <t>100гр</t>
  </si>
  <si>
    <t>Мешок по 7, 8, 9, 10 кг</t>
  </si>
  <si>
    <t>50гр</t>
  </si>
  <si>
    <t>Короб 7, 8, 9 кг</t>
  </si>
  <si>
    <t>Картонный короб - 10 кг(40 шт)</t>
  </si>
  <si>
    <t>Картонный короб - 9 кг(90 шт)</t>
  </si>
  <si>
    <t>25гр</t>
  </si>
  <si>
    <t>Картонный короб - 8 кг(320 шт)</t>
  </si>
  <si>
    <t>КАЛЬКУЛЯТОР РАСЧЕТА КОЛИЧЕСТВА МЕСТ, ВЕСА И ОБЪЕМА ПРОДУКЦИИ</t>
  </si>
  <si>
    <t>Наименование товара</t>
  </si>
  <si>
    <t>ЕИ</t>
  </si>
  <si>
    <t>Ввести колличество*</t>
  </si>
  <si>
    <t>Мест**</t>
  </si>
  <si>
    <t>шт\м</t>
  </si>
  <si>
    <t>Вес 1 места</t>
  </si>
  <si>
    <t>Объем 1 места</t>
  </si>
  <si>
    <t>Вес общ</t>
  </si>
  <si>
    <t>V общ</t>
  </si>
  <si>
    <t>Марля 36 гр. 1 место = ролик 1000 м</t>
  </si>
  <si>
    <t>М</t>
  </si>
  <si>
    <t>Марля 32 гр. 1 место = ролик 1000 м</t>
  </si>
  <si>
    <t>Марля 28 гр. 1 место = ролик 1000 м</t>
  </si>
  <si>
    <r>
      <t>ОТРЕЗ. 1-10 м х 90 см</t>
    </r>
    <r>
      <rPr>
        <b/>
        <sz val="18"/>
        <rFont val="Arial"/>
        <family val="2"/>
      </rPr>
      <t xml:space="preserve"> 36гр.</t>
    </r>
    <r>
      <rPr>
        <sz val="18"/>
        <rFont val="Arial"/>
        <family val="2"/>
      </rPr>
      <t xml:space="preserve"> 1 место = 250 метров</t>
    </r>
  </si>
  <si>
    <r>
      <t xml:space="preserve">ОТРЕЗ. 1-10 м х 90 см </t>
    </r>
    <r>
      <rPr>
        <b/>
        <sz val="18"/>
        <rFont val="Arial"/>
        <family val="2"/>
      </rPr>
      <t>28гр</t>
    </r>
    <r>
      <rPr>
        <sz val="18"/>
        <rFont val="Arial"/>
        <family val="2"/>
      </rPr>
      <t>. 1 место = 250 метров</t>
    </r>
  </si>
  <si>
    <r>
      <t>ОТРЕЗ 50 М (</t>
    </r>
    <r>
      <rPr>
        <b/>
        <sz val="18"/>
        <rFont val="Arial"/>
        <family val="2"/>
      </rPr>
      <t>28</t>
    </r>
    <r>
      <rPr>
        <sz val="18"/>
        <rFont val="Arial"/>
        <family val="2"/>
      </rPr>
      <t>) 1 МЕСТО 500 МЕТРОВ (10 УПАК)</t>
    </r>
  </si>
  <si>
    <r>
      <t xml:space="preserve">ОТРЕЗ 100 М </t>
    </r>
    <r>
      <rPr>
        <b/>
        <sz val="18"/>
        <rFont val="Arial"/>
        <family val="2"/>
      </rPr>
      <t>(36</t>
    </r>
    <r>
      <rPr>
        <sz val="18"/>
        <rFont val="Arial"/>
        <family val="2"/>
      </rPr>
      <t>) 1 МЕСТО 500 МЕТРОВ (5 УПАК)</t>
    </r>
  </si>
  <si>
    <r>
      <t>ОТРЕЗ 200 М (</t>
    </r>
    <r>
      <rPr>
        <b/>
        <sz val="18"/>
        <rFont val="Arial"/>
        <family val="2"/>
      </rPr>
      <t>28</t>
    </r>
    <r>
      <rPr>
        <sz val="18"/>
        <rFont val="Arial"/>
        <family val="2"/>
      </rPr>
      <t>) 1 МЕСТО 600 МЕТРОВ (3 УПАК)</t>
    </r>
  </si>
  <si>
    <t>ОТРЕЗ 50 М (36) 1 МЕСТО 500 МЕТРОВ (10 УПАК)</t>
  </si>
  <si>
    <t>ВАТА 250 ГР НЕСТ, 1 место = мешок 11 КГ (44 ШТ)</t>
  </si>
  <si>
    <t>Вата 100 гр НЕСТ 1 место = 1 мешок 10 кг(100 штук)</t>
  </si>
  <si>
    <t>Вата 50 гр НЕСТ 1 место = 1 короб 7,5 кг(150 штук)</t>
  </si>
  <si>
    <t>Вата стер. 250. Короб - 9 кг</t>
  </si>
  <si>
    <t>Вата стер. 100. Короб - 10 кг.</t>
  </si>
  <si>
    <t>Бинт 7х14, в групп 36гр, 1 место = мешок 300 штук</t>
  </si>
  <si>
    <t>Бинт 7х14, в групп 28гр, 1 место = мешок 420 штук</t>
  </si>
  <si>
    <t>Бинт 5х10, в групп 36гр, 1 место = мешок 600 штук</t>
  </si>
  <si>
    <t>Бинт 5х10, в групп 28гр, 1 место = мешок 720 штук</t>
  </si>
  <si>
    <t>Бинт 7х14, ИНД\СТЕР всех плотн., 1 место=короб 250</t>
  </si>
  <si>
    <t>Бинт 5х10, ИНД\СТЕР всех плотн., 1 место=короб 500</t>
  </si>
  <si>
    <t>Бинт 5х7, ИНД\СТЕР всех плотн., 1 место=короб 400</t>
  </si>
  <si>
    <t>Бинт 5х5, ИНД\СТЕР всех плотн., 1 место=короб 700</t>
  </si>
  <si>
    <t>ШТ</t>
  </si>
  <si>
    <t>Салфетки 16*14 всех пл-й. 1 место = короб 300уп.</t>
  </si>
  <si>
    <t>УПАК</t>
  </si>
  <si>
    <t>Салфетки 45*29 всех пл-й. 1 место = короб 100уп.</t>
  </si>
  <si>
    <t>Бобины 45 см 2 шт\мешок 28 гр</t>
  </si>
  <si>
    <t>Бобины 30 см 3 шт\мешок 28 гр</t>
  </si>
  <si>
    <t xml:space="preserve">ИТОГО - </t>
  </si>
  <si>
    <t>* Ввести количество соответствующее Единице измерения!!!!!</t>
  </si>
  <si>
    <t>Мест</t>
  </si>
  <si>
    <t>м3</t>
  </si>
  <si>
    <t>** Округляется в большую сторону до 1 места.</t>
  </si>
  <si>
    <t>5М Х 7СМ</t>
  </si>
  <si>
    <t>Картонный короб - 700 шт.</t>
  </si>
  <si>
    <r>
      <t>Отрезы марлевые медицинские нестерильные</t>
    </r>
    <r>
      <rPr>
        <sz val="18"/>
        <rFont val="Times New Roman"/>
        <family val="1"/>
      </rPr>
      <t xml:space="preserve">  от 10 до 200 метров в куске. Упаковка - бум.мешок, полипропилен. Для хоз.нужд, изготовления перевязочных средств.</t>
    </r>
  </si>
  <si>
    <t>Вата хирургическая гигроскопическая стерильная, Производство - ООО "фирма "Ювента", г.Иваново</t>
  </si>
  <si>
    <r>
      <t>Отрезы марлевые медицинские нестерильные</t>
    </r>
    <r>
      <rPr>
        <sz val="18"/>
        <rFont val="Times New Roman"/>
        <family val="1"/>
      </rPr>
      <t xml:space="preserve">  по - 1, 2, 3, 5, 10 метров. Упаковка - бум.мешок(200, 250, 210, 250м соответственно) </t>
    </r>
  </si>
  <si>
    <r>
      <t xml:space="preserve">Бинт марлевый медицинский нестерильный в </t>
    </r>
    <r>
      <rPr>
        <u val="single"/>
        <sz val="18"/>
        <rFont val="Times New Roman"/>
        <family val="1"/>
      </rPr>
      <t>групповой</t>
    </r>
    <r>
      <rPr>
        <sz val="18"/>
        <rFont val="Times New Roman"/>
        <family val="1"/>
      </rPr>
      <t xml:space="preserve"> упаковке. Пачка - 30 штук. Плотность бинта: 28 / 32 / 36 гр.м2.</t>
    </r>
  </si>
  <si>
    <r>
      <t>Бинт марлевый медицинский нестерильный</t>
    </r>
    <r>
      <rPr>
        <b/>
        <u val="single"/>
        <sz val="18"/>
        <rFont val="Times New Roman"/>
        <family val="1"/>
      </rPr>
      <t xml:space="preserve"> в индивидуальной упаковке.</t>
    </r>
    <r>
      <rPr>
        <sz val="18"/>
        <rFont val="Times New Roman"/>
        <family val="1"/>
      </rPr>
      <t xml:space="preserve"> Плотность бинта: 28 / 32 / 36 гр.м2.</t>
    </r>
  </si>
  <si>
    <r>
      <t xml:space="preserve">Бинт марлевый медицинский </t>
    </r>
    <r>
      <rPr>
        <b/>
        <u val="single"/>
        <sz val="18"/>
        <rFont val="Times New Roman"/>
        <family val="1"/>
      </rPr>
      <t>стерильный в индивидуальной упаковке.</t>
    </r>
    <r>
      <rPr>
        <sz val="18"/>
        <rFont val="Times New Roman"/>
        <family val="1"/>
      </rPr>
      <t xml:space="preserve"> Плотность бинта: 28 / 32 / 36 гр.м2.</t>
    </r>
  </si>
  <si>
    <t>16см х 14см</t>
  </si>
  <si>
    <t>45см х 29см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</si>
</sst>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&quot; м.&quot;"/>
    <numFmt numFmtId="174" formatCode="0.000"/>
    <numFmt numFmtId="175" formatCode="#&quot; шт.&quot;"/>
    <numFmt numFmtId="176" formatCode="#&quot; упак.&quot;"/>
  </numFmts>
  <fonts count="60">
    <font>
      <sz val="10"/>
      <name val="Arial Cyr"/>
      <family val="2"/>
    </font>
    <font>
      <sz val="10"/>
      <name val="Arial"/>
      <family val="0"/>
    </font>
    <font>
      <sz val="18"/>
      <name val="Times New Roman"/>
      <family val="1"/>
    </font>
    <font>
      <u val="single"/>
      <sz val="10"/>
      <color indexed="12"/>
      <name val="Arial Cyr"/>
      <family val="2"/>
    </font>
    <font>
      <b/>
      <sz val="18"/>
      <name val="Times New Roman"/>
      <family val="1"/>
    </font>
    <font>
      <u val="single"/>
      <sz val="18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 Cyr"/>
      <family val="2"/>
    </font>
    <font>
      <sz val="18"/>
      <color indexed="22"/>
      <name val="Times New Roman"/>
      <family val="1"/>
    </font>
    <font>
      <b/>
      <u val="single"/>
      <sz val="18"/>
      <name val="Times New Roman"/>
      <family val="1"/>
    </font>
    <font>
      <sz val="18"/>
      <color indexed="12"/>
      <name val="Times New Roman"/>
      <family val="1"/>
    </font>
    <font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173" fontId="14" fillId="33" borderId="11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 applyProtection="1">
      <alignment horizontal="center" vertical="center" wrapText="1"/>
      <protection/>
    </xf>
    <xf numFmtId="1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174" fontId="9" fillId="35" borderId="13" xfId="0" applyNumberFormat="1" applyFont="1" applyFill="1" applyBorder="1" applyAlignment="1" applyProtection="1">
      <alignment horizontal="center" vertical="center" wrapText="1"/>
      <protection/>
    </xf>
    <xf numFmtId="174" fontId="9" fillId="35" borderId="14" xfId="0" applyNumberFormat="1" applyFont="1" applyFill="1" applyBorder="1" applyAlignment="1" applyProtection="1">
      <alignment horizontal="center" vertical="center" wrapText="1"/>
      <protection/>
    </xf>
    <xf numFmtId="175" fontId="14" fillId="33" borderId="11" xfId="0" applyNumberFormat="1" applyFont="1" applyFill="1" applyBorder="1" applyAlignment="1">
      <alignment horizontal="center" vertical="center" wrapText="1"/>
    </xf>
    <xf numFmtId="174" fontId="9" fillId="35" borderId="15" xfId="0" applyNumberFormat="1" applyFont="1" applyFill="1" applyBorder="1" applyAlignment="1" applyProtection="1">
      <alignment horizontal="center" vertical="center" wrapText="1"/>
      <protection/>
    </xf>
    <xf numFmtId="174" fontId="9" fillId="35" borderId="16" xfId="0" applyNumberFormat="1" applyFont="1" applyFill="1" applyBorder="1" applyAlignment="1" applyProtection="1">
      <alignment horizontal="center" vertical="center" wrapText="1"/>
      <protection/>
    </xf>
    <xf numFmtId="176" fontId="14" fillId="33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wrapText="1"/>
    </xf>
    <xf numFmtId="2" fontId="16" fillId="36" borderId="1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172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39" borderId="1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 wrapText="1"/>
    </xf>
    <xf numFmtId="1" fontId="16" fillId="36" borderId="18" xfId="0" applyNumberFormat="1" applyFont="1" applyFill="1" applyBorder="1" applyAlignment="1">
      <alignment horizontal="center" vertical="center" wrapText="1"/>
    </xf>
    <xf numFmtId="2" fontId="16" fillId="36" borderId="18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40" borderId="10" xfId="0" applyNumberFormat="1" applyFont="1" applyFill="1" applyBorder="1" applyAlignment="1">
      <alignment horizontal="left" vertical="center" shrinkToFit="1"/>
    </xf>
    <xf numFmtId="49" fontId="13" fillId="36" borderId="10" xfId="0" applyNumberFormat="1" applyFont="1" applyFill="1" applyBorder="1" applyAlignment="1">
      <alignment horizontal="left" vertical="center" shrinkToFit="1"/>
    </xf>
    <xf numFmtId="0" fontId="8" fillId="0" borderId="23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 val="0"/>
        <color indexed="9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uventa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view="pageBreakPreview" zoomScale="50" zoomScaleSheetLayoutView="50" zoomScalePageLayoutView="0" workbookViewId="0" topLeftCell="A1">
      <selection activeCell="AD21" sqref="AD21"/>
    </sheetView>
  </sheetViews>
  <sheetFormatPr defaultColWidth="23.50390625" defaultRowHeight="12.75"/>
  <cols>
    <col min="1" max="1" width="5.50390625" style="1" customWidth="1"/>
    <col min="2" max="2" width="78.375" style="47" customWidth="1"/>
    <col min="3" max="3" width="49.375" style="1" customWidth="1"/>
    <col min="4" max="4" width="12.50390625" style="1" customWidth="1"/>
    <col min="5" max="7" width="15.00390625" style="50" customWidth="1"/>
    <col min="8" max="8" width="49.50390625" style="47" customWidth="1"/>
    <col min="9" max="9" width="3.375" style="1" hidden="1" customWidth="1"/>
    <col min="10" max="10" width="8.625" style="1" hidden="1" customWidth="1"/>
    <col min="11" max="11" width="8.625" style="2" hidden="1" customWidth="1"/>
    <col min="12" max="20" width="8.625" style="3" hidden="1" customWidth="1"/>
    <col min="21" max="22" width="8.625" style="4" hidden="1" customWidth="1"/>
    <col min="23" max="28" width="11.375" style="4" hidden="1" customWidth="1"/>
    <col min="29" max="29" width="11.375" style="4" customWidth="1"/>
    <col min="30" max="33" width="10.625" style="4" customWidth="1"/>
    <col min="34" max="44" width="23.50390625" style="41" customWidth="1"/>
    <col min="45" max="16384" width="23.50390625" style="4" customWidth="1"/>
  </cols>
  <sheetData>
    <row r="1" spans="1:10" ht="57.75" customHeight="1">
      <c r="A1" s="67" t="s">
        <v>0</v>
      </c>
      <c r="B1" s="67"/>
      <c r="C1" s="67"/>
      <c r="D1" s="67"/>
      <c r="E1" s="67"/>
      <c r="F1" s="67"/>
      <c r="G1" s="67"/>
      <c r="H1" s="67"/>
      <c r="I1" s="5"/>
      <c r="J1" s="5"/>
    </row>
    <row r="2" spans="1:10" ht="19.5" customHeight="1">
      <c r="A2" s="68" t="s">
        <v>1</v>
      </c>
      <c r="B2" s="68"/>
      <c r="C2" s="68"/>
      <c r="D2" s="69">
        <v>44074</v>
      </c>
      <c r="E2" s="69"/>
      <c r="F2" s="69"/>
      <c r="G2" s="69"/>
      <c r="H2" s="42"/>
      <c r="I2" s="5"/>
      <c r="J2" s="5"/>
    </row>
    <row r="3" spans="1:12" ht="39.75" customHeight="1">
      <c r="A3" s="43" t="s">
        <v>2</v>
      </c>
      <c r="B3" s="56" t="s">
        <v>3</v>
      </c>
      <c r="C3" s="56"/>
      <c r="D3" s="43" t="s">
        <v>4</v>
      </c>
      <c r="E3" s="56" t="s">
        <v>5</v>
      </c>
      <c r="F3" s="56"/>
      <c r="G3" s="56"/>
      <c r="H3" s="43" t="s">
        <v>6</v>
      </c>
      <c r="I3" s="2" t="s">
        <v>7</v>
      </c>
      <c r="J3" s="3" t="s">
        <v>8</v>
      </c>
      <c r="K3" s="4"/>
      <c r="L3" s="4"/>
    </row>
    <row r="4" spans="1:23" ht="30.75" customHeight="1">
      <c r="A4" s="43">
        <v>1</v>
      </c>
      <c r="B4" s="56" t="s">
        <v>9</v>
      </c>
      <c r="C4" s="43" t="s">
        <v>10</v>
      </c>
      <c r="D4" s="43" t="s">
        <v>11</v>
      </c>
      <c r="E4" s="66">
        <v>10.05</v>
      </c>
      <c r="F4" s="66"/>
      <c r="G4" s="66"/>
      <c r="H4" s="43" t="s">
        <v>12</v>
      </c>
      <c r="I4" s="6"/>
      <c r="J4" s="6"/>
      <c r="W4" s="48"/>
    </row>
    <row r="5" spans="1:23" ht="30.75" customHeight="1">
      <c r="A5" s="43">
        <v>2</v>
      </c>
      <c r="B5" s="56"/>
      <c r="C5" s="44" t="s">
        <v>13</v>
      </c>
      <c r="D5" s="43" t="s">
        <v>11</v>
      </c>
      <c r="E5" s="57">
        <v>12.3</v>
      </c>
      <c r="F5" s="57"/>
      <c r="G5" s="57"/>
      <c r="H5" s="43" t="s">
        <v>12</v>
      </c>
      <c r="I5" s="6"/>
      <c r="J5" s="6"/>
      <c r="W5" s="49"/>
    </row>
    <row r="6" spans="1:23" ht="30.75" customHeight="1">
      <c r="A6" s="43">
        <v>3</v>
      </c>
      <c r="B6" s="56"/>
      <c r="C6" s="43" t="s">
        <v>14</v>
      </c>
      <c r="D6" s="43" t="s">
        <v>11</v>
      </c>
      <c r="E6" s="66">
        <v>13.25</v>
      </c>
      <c r="F6" s="66"/>
      <c r="G6" s="66"/>
      <c r="H6" s="43" t="s">
        <v>12</v>
      </c>
      <c r="I6" s="6"/>
      <c r="J6" s="6"/>
      <c r="W6" s="48"/>
    </row>
    <row r="7" spans="1:23" ht="30.75" customHeight="1">
      <c r="A7" s="43">
        <v>4</v>
      </c>
      <c r="B7" s="56"/>
      <c r="C7" s="45" t="s">
        <v>15</v>
      </c>
      <c r="D7" s="45" t="s">
        <v>11</v>
      </c>
      <c r="E7" s="58">
        <v>15.82</v>
      </c>
      <c r="F7" s="58"/>
      <c r="G7" s="58"/>
      <c r="H7" s="43" t="s">
        <v>12</v>
      </c>
      <c r="I7" s="6"/>
      <c r="J7" s="6"/>
      <c r="W7" s="48"/>
    </row>
    <row r="8" spans="1:25" ht="30.75" customHeight="1">
      <c r="A8" s="43">
        <v>5</v>
      </c>
      <c r="B8" s="56"/>
      <c r="C8" s="45" t="s">
        <v>16</v>
      </c>
      <c r="D8" s="45" t="s">
        <v>17</v>
      </c>
      <c r="E8" s="58">
        <v>18.05</v>
      </c>
      <c r="F8" s="58"/>
      <c r="G8" s="58"/>
      <c r="H8" s="43" t="s">
        <v>18</v>
      </c>
      <c r="I8" s="6"/>
      <c r="J8" s="6"/>
      <c r="W8" s="48"/>
      <c r="Y8" s="4" t="s">
        <v>19</v>
      </c>
    </row>
    <row r="9" spans="1:23" ht="30.75" customHeight="1">
      <c r="A9" s="43">
        <v>6</v>
      </c>
      <c r="B9" s="56"/>
      <c r="C9" s="43" t="s">
        <v>20</v>
      </c>
      <c r="D9" s="43" t="s">
        <v>11</v>
      </c>
      <c r="E9" s="66">
        <v>24.2</v>
      </c>
      <c r="F9" s="66"/>
      <c r="G9" s="66"/>
      <c r="H9" s="43" t="s">
        <v>21</v>
      </c>
      <c r="I9" s="6"/>
      <c r="J9" s="6"/>
      <c r="W9" s="48"/>
    </row>
    <row r="10" spans="1:23" ht="30.75" customHeight="1">
      <c r="A10" s="43">
        <v>7</v>
      </c>
      <c r="B10" s="65" t="s">
        <v>105</v>
      </c>
      <c r="C10" s="43" t="s">
        <v>10</v>
      </c>
      <c r="D10" s="43" t="s">
        <v>11</v>
      </c>
      <c r="E10" s="66">
        <f aca="true" t="shared" si="0" ref="E10:E15">E4+1.5</f>
        <v>11.55</v>
      </c>
      <c r="F10" s="66"/>
      <c r="G10" s="66"/>
      <c r="H10" s="43" t="s">
        <v>22</v>
      </c>
      <c r="I10" s="6"/>
      <c r="J10" s="6"/>
      <c r="W10" s="48"/>
    </row>
    <row r="11" spans="1:23" ht="30.75" customHeight="1">
      <c r="A11" s="43">
        <v>8</v>
      </c>
      <c r="B11" s="65"/>
      <c r="C11" s="44" t="s">
        <v>13</v>
      </c>
      <c r="D11" s="43" t="s">
        <v>11</v>
      </c>
      <c r="E11" s="66">
        <f t="shared" si="0"/>
        <v>13.8</v>
      </c>
      <c r="F11" s="66"/>
      <c r="G11" s="66"/>
      <c r="H11" s="43" t="s">
        <v>22</v>
      </c>
      <c r="I11" s="6"/>
      <c r="J11" s="6"/>
      <c r="W11" s="48"/>
    </row>
    <row r="12" spans="1:23" ht="30.75" customHeight="1">
      <c r="A12" s="43">
        <v>9</v>
      </c>
      <c r="B12" s="65"/>
      <c r="C12" s="43" t="s">
        <v>14</v>
      </c>
      <c r="D12" s="43" t="s">
        <v>11</v>
      </c>
      <c r="E12" s="66">
        <f t="shared" si="0"/>
        <v>14.75</v>
      </c>
      <c r="F12" s="66"/>
      <c r="G12" s="66"/>
      <c r="H12" s="43" t="s">
        <v>22</v>
      </c>
      <c r="I12" s="6"/>
      <c r="J12" s="6"/>
      <c r="W12" s="48"/>
    </row>
    <row r="13" spans="1:23" ht="30.75" customHeight="1">
      <c r="A13" s="43">
        <v>10</v>
      </c>
      <c r="B13" s="65"/>
      <c r="C13" s="45" t="s">
        <v>15</v>
      </c>
      <c r="D13" s="45" t="s">
        <v>11</v>
      </c>
      <c r="E13" s="66">
        <f t="shared" si="0"/>
        <v>17.32</v>
      </c>
      <c r="F13" s="66"/>
      <c r="G13" s="66"/>
      <c r="H13" s="43" t="s">
        <v>22</v>
      </c>
      <c r="I13" s="6"/>
      <c r="J13" s="6"/>
      <c r="W13" s="48"/>
    </row>
    <row r="14" spans="1:10" ht="30.75" customHeight="1">
      <c r="A14" s="43">
        <v>11</v>
      </c>
      <c r="B14" s="65"/>
      <c r="C14" s="45" t="s">
        <v>16</v>
      </c>
      <c r="D14" s="45" t="s">
        <v>17</v>
      </c>
      <c r="E14" s="66">
        <f t="shared" si="0"/>
        <v>19.55</v>
      </c>
      <c r="F14" s="66"/>
      <c r="G14" s="66"/>
      <c r="H14" s="43" t="s">
        <v>22</v>
      </c>
      <c r="I14" s="6"/>
      <c r="J14" s="6"/>
    </row>
    <row r="15" spans="1:10" ht="30.75" customHeight="1">
      <c r="A15" s="43">
        <v>12</v>
      </c>
      <c r="B15" s="65"/>
      <c r="C15" s="43" t="s">
        <v>20</v>
      </c>
      <c r="D15" s="43" t="s">
        <v>11</v>
      </c>
      <c r="E15" s="66">
        <f t="shared" si="0"/>
        <v>25.7</v>
      </c>
      <c r="F15" s="66"/>
      <c r="G15" s="66"/>
      <c r="H15" s="43" t="s">
        <v>22</v>
      </c>
      <c r="I15" s="6"/>
      <c r="J15" s="6"/>
    </row>
    <row r="16" spans="1:10" ht="30.75" customHeight="1">
      <c r="A16" s="54">
        <v>13</v>
      </c>
      <c r="B16" s="63" t="s">
        <v>103</v>
      </c>
      <c r="C16" s="54" t="s">
        <v>10</v>
      </c>
      <c r="D16" s="54" t="s">
        <v>11</v>
      </c>
      <c r="E16" s="64">
        <f>E4+1.8</f>
        <v>11.850000000000001</v>
      </c>
      <c r="F16" s="64"/>
      <c r="G16" s="64"/>
      <c r="H16" s="54" t="s">
        <v>23</v>
      </c>
      <c r="I16" s="6"/>
      <c r="J16" s="6"/>
    </row>
    <row r="17" spans="1:10" ht="30.75" customHeight="1">
      <c r="A17" s="54">
        <v>14</v>
      </c>
      <c r="B17" s="63"/>
      <c r="C17" s="55" t="s">
        <v>13</v>
      </c>
      <c r="D17" s="54" t="s">
        <v>11</v>
      </c>
      <c r="E17" s="64">
        <f>E5+1.8</f>
        <v>14.100000000000001</v>
      </c>
      <c r="F17" s="64"/>
      <c r="G17" s="64"/>
      <c r="H17" s="54" t="s">
        <v>23</v>
      </c>
      <c r="I17" s="6"/>
      <c r="J17" s="6"/>
    </row>
    <row r="18" spans="1:10" ht="30.75" customHeight="1">
      <c r="A18" s="54">
        <v>15</v>
      </c>
      <c r="B18" s="63"/>
      <c r="C18" s="54" t="s">
        <v>14</v>
      </c>
      <c r="D18" s="54" t="s">
        <v>11</v>
      </c>
      <c r="E18" s="64">
        <f>E6+1.8</f>
        <v>15.05</v>
      </c>
      <c r="F18" s="64"/>
      <c r="G18" s="64"/>
      <c r="H18" s="54" t="s">
        <v>23</v>
      </c>
      <c r="I18" s="6"/>
      <c r="J18" s="6"/>
    </row>
    <row r="19" spans="1:10" ht="30.75" customHeight="1">
      <c r="A19" s="54">
        <v>16</v>
      </c>
      <c r="B19" s="63"/>
      <c r="C19" s="54" t="s">
        <v>24</v>
      </c>
      <c r="D19" s="54" t="s">
        <v>11</v>
      </c>
      <c r="E19" s="64">
        <f>E9+1.8</f>
        <v>26</v>
      </c>
      <c r="F19" s="64"/>
      <c r="G19" s="64"/>
      <c r="H19" s="54" t="s">
        <v>23</v>
      </c>
      <c r="I19" s="6"/>
      <c r="J19" s="6"/>
    </row>
    <row r="20" spans="1:10" ht="48.75" customHeight="1">
      <c r="A20" s="52">
        <v>17</v>
      </c>
      <c r="B20" s="52" t="s">
        <v>25</v>
      </c>
      <c r="C20" s="52" t="s">
        <v>26</v>
      </c>
      <c r="D20" s="52" t="s">
        <v>27</v>
      </c>
      <c r="E20" s="53">
        <f>((E4)*1000+800)/8</f>
        <v>1356.25</v>
      </c>
      <c r="F20" s="53">
        <f>((E5)*1000+800)/8</f>
        <v>1637.5</v>
      </c>
      <c r="G20" s="53">
        <f>((E6)*1000+800)/8</f>
        <v>1756.25</v>
      </c>
      <c r="H20" s="52" t="s">
        <v>28</v>
      </c>
      <c r="I20" s="6"/>
      <c r="J20" s="6"/>
    </row>
    <row r="21" spans="1:10" ht="48.75" customHeight="1">
      <c r="A21" s="52">
        <v>18</v>
      </c>
      <c r="B21" s="52" t="s">
        <v>29</v>
      </c>
      <c r="C21" s="52" t="s">
        <v>26</v>
      </c>
      <c r="D21" s="52" t="s">
        <v>27</v>
      </c>
      <c r="E21" s="53">
        <f>((E4)*1000+600)/6</f>
        <v>1775</v>
      </c>
      <c r="F21" s="53">
        <f>((E5)*1000+600)/6</f>
        <v>2150</v>
      </c>
      <c r="G21" s="53">
        <f>((E6)*1000+600)/6</f>
        <v>2308.3333333333335</v>
      </c>
      <c r="H21" s="52" t="s">
        <v>28</v>
      </c>
      <c r="I21" s="6"/>
      <c r="J21" s="6"/>
    </row>
    <row r="22" spans="1:10" ht="48.75" customHeight="1">
      <c r="A22" s="52">
        <v>19</v>
      </c>
      <c r="B22" s="52" t="s">
        <v>30</v>
      </c>
      <c r="C22" s="52" t="s">
        <v>26</v>
      </c>
      <c r="D22" s="52" t="s">
        <v>27</v>
      </c>
      <c r="E22" s="53">
        <f>((E5)*1000+300)/3</f>
        <v>4200</v>
      </c>
      <c r="F22" s="53">
        <f>((E5)*1000+300)/3</f>
        <v>4200</v>
      </c>
      <c r="G22" s="53">
        <f>((E6)*1000+300)/3</f>
        <v>4516.666666666667</v>
      </c>
      <c r="H22" s="52" t="s">
        <v>28</v>
      </c>
      <c r="I22" s="6"/>
      <c r="J22" s="6"/>
    </row>
    <row r="23" spans="1:10" ht="48.75" customHeight="1">
      <c r="A23" s="52">
        <v>20</v>
      </c>
      <c r="B23" s="52" t="s">
        <v>31</v>
      </c>
      <c r="C23" s="52" t="s">
        <v>26</v>
      </c>
      <c r="D23" s="52" t="s">
        <v>27</v>
      </c>
      <c r="E23" s="53">
        <f>((E4)*1000+200)/2</f>
        <v>5125</v>
      </c>
      <c r="F23" s="53">
        <f>((E5)*1000+200)/2</f>
        <v>6250</v>
      </c>
      <c r="G23" s="53">
        <f>((E6)*1000+200)/2</f>
        <v>6725</v>
      </c>
      <c r="H23" s="52" t="s">
        <v>28</v>
      </c>
      <c r="I23" s="6"/>
      <c r="J23" s="6"/>
    </row>
    <row r="24" spans="1:10" ht="30.75" customHeight="1">
      <c r="A24" s="43">
        <v>21</v>
      </c>
      <c r="B24" s="56" t="s">
        <v>106</v>
      </c>
      <c r="C24" s="44" t="s">
        <v>32</v>
      </c>
      <c r="D24" s="44" t="s">
        <v>27</v>
      </c>
      <c r="E24" s="46">
        <f>(E4*1000/Q35)+0.85</f>
        <v>3.745558223289316</v>
      </c>
      <c r="F24" s="46">
        <f>(E5*1000/Q35)+0.85</f>
        <v>4.393817527010804</v>
      </c>
      <c r="G24" s="46">
        <f>(E6*1000/Q35)+0.85</f>
        <v>4.667527010804322</v>
      </c>
      <c r="H24" s="43" t="s">
        <v>22</v>
      </c>
      <c r="I24" s="6"/>
      <c r="J24" s="6"/>
    </row>
    <row r="25" spans="1:10" ht="30.75" customHeight="1">
      <c r="A25" s="43">
        <v>22</v>
      </c>
      <c r="B25" s="56"/>
      <c r="C25" s="44" t="s">
        <v>101</v>
      </c>
      <c r="D25" s="44" t="s">
        <v>90</v>
      </c>
      <c r="E25" s="46">
        <f>(E5*1000/U35)+0.85</f>
        <v>5.8786181520850365</v>
      </c>
      <c r="F25" s="46">
        <f>(E6*1000/U35)+0.85</f>
        <v>6.267007358953393</v>
      </c>
      <c r="G25" s="46">
        <f>(E6*1000/U35)+0.85</f>
        <v>6.267007358953393</v>
      </c>
      <c r="H25" s="43" t="s">
        <v>22</v>
      </c>
      <c r="I25" s="6"/>
      <c r="J25" s="6"/>
    </row>
    <row r="26" spans="1:10" ht="30.75" customHeight="1">
      <c r="A26" s="43">
        <v>23</v>
      </c>
      <c r="B26" s="56"/>
      <c r="C26" s="44" t="s">
        <v>33</v>
      </c>
      <c r="D26" s="44" t="s">
        <v>27</v>
      </c>
      <c r="E26" s="46">
        <f>(E4*1000/R35)+0.85</f>
        <v>5.721173469387754</v>
      </c>
      <c r="F26" s="46">
        <f>(E5*1000/R35)+0.85</f>
        <v>6.81173469387755</v>
      </c>
      <c r="G26" s="46">
        <f>(E6*1000/R35)+0.85</f>
        <v>7.272193877551019</v>
      </c>
      <c r="H26" s="43" t="s">
        <v>22</v>
      </c>
      <c r="I26" s="6"/>
      <c r="J26" s="6"/>
    </row>
    <row r="27" spans="1:10" ht="30.75" customHeight="1">
      <c r="A27" s="43">
        <v>24</v>
      </c>
      <c r="B27" s="56"/>
      <c r="C27" s="44" t="s">
        <v>34</v>
      </c>
      <c r="D27" s="44" t="s">
        <v>27</v>
      </c>
      <c r="E27" s="46">
        <f>(E4*1000/S35)+0.85</f>
        <v>5.772448979591836</v>
      </c>
      <c r="F27" s="46">
        <f>(E5*1000/S35)+0.85</f>
        <v>6.874489795918366</v>
      </c>
      <c r="G27" s="46">
        <f>(E6*1000/S35)+0.85</f>
        <v>7.339795918367346</v>
      </c>
      <c r="H27" s="43" t="s">
        <v>22</v>
      </c>
      <c r="I27" s="6"/>
      <c r="J27" s="6"/>
    </row>
    <row r="28" spans="1:10" ht="30.75" customHeight="1">
      <c r="A28" s="43">
        <v>25</v>
      </c>
      <c r="B28" s="56"/>
      <c r="C28" s="44" t="s">
        <v>35</v>
      </c>
      <c r="D28" s="44" t="s">
        <v>27</v>
      </c>
      <c r="E28" s="46">
        <f>(E4*1000/L35)+0.85</f>
        <v>7.015644171779141</v>
      </c>
      <c r="F28" s="46">
        <f>(E5*1000/L35)+0.85</f>
        <v>8.39601226993865</v>
      </c>
      <c r="G28" s="46">
        <f>(E6*1000/L35)+0.85</f>
        <v>8.978834355828221</v>
      </c>
      <c r="H28" s="43" t="s">
        <v>22</v>
      </c>
      <c r="I28" s="6"/>
      <c r="J28" s="6"/>
    </row>
    <row r="29" spans="1:20" ht="30.75" customHeight="1">
      <c r="A29" s="43">
        <v>26</v>
      </c>
      <c r="B29" s="56"/>
      <c r="C29" s="44" t="s">
        <v>36</v>
      </c>
      <c r="D29" s="44" t="s">
        <v>27</v>
      </c>
      <c r="E29" s="46">
        <f>(E4*1000/N35)+0.85</f>
        <v>9.566836734693878</v>
      </c>
      <c r="F29" s="46">
        <f>(E5*1000/N35)+0.85</f>
        <v>11.518367346938774</v>
      </c>
      <c r="G29" s="46">
        <f>(E6*1000/N35)+0.85</f>
        <v>12.34234693877551</v>
      </c>
      <c r="H29" s="43" t="s">
        <v>22</v>
      </c>
      <c r="I29" s="6"/>
      <c r="J29" s="6"/>
      <c r="L29" s="7">
        <v>4.9</v>
      </c>
      <c r="M29" s="7">
        <v>6.8</v>
      </c>
      <c r="N29" s="3">
        <v>6.8</v>
      </c>
      <c r="O29" s="3">
        <v>9.8</v>
      </c>
      <c r="P29" s="3">
        <v>4.8</v>
      </c>
      <c r="Q29" s="3">
        <v>4.8</v>
      </c>
      <c r="R29" s="3">
        <v>3.8</v>
      </c>
      <c r="S29" s="3">
        <v>4.8</v>
      </c>
      <c r="T29" s="3">
        <v>6.8</v>
      </c>
    </row>
    <row r="30" spans="1:13" ht="30.75" customHeight="1">
      <c r="A30" s="43">
        <v>27</v>
      </c>
      <c r="B30" s="56"/>
      <c r="C30" s="44" t="s">
        <v>37</v>
      </c>
      <c r="D30" s="44" t="s">
        <v>27</v>
      </c>
      <c r="E30" s="46">
        <f>(E4*1000/T35)+0.85</f>
        <v>10.81209912536443</v>
      </c>
      <c r="F30" s="46">
        <f>(E5*1000/T35)+0.85</f>
        <v>13.042419825072885</v>
      </c>
      <c r="G30" s="46">
        <f>(E6*1000/T35)+0.85</f>
        <v>13.98411078717201</v>
      </c>
      <c r="H30" s="43" t="s">
        <v>22</v>
      </c>
      <c r="I30" s="6"/>
      <c r="J30" s="6"/>
      <c r="L30" s="7"/>
      <c r="M30" s="7"/>
    </row>
    <row r="31" spans="1:17" ht="30.75" customHeight="1">
      <c r="A31" s="43">
        <v>28</v>
      </c>
      <c r="B31" s="56"/>
      <c r="C31" s="44" t="s">
        <v>38</v>
      </c>
      <c r="D31" s="44" t="s">
        <v>27</v>
      </c>
      <c r="E31" s="46">
        <f>(E4*1000/M35)+0.85</f>
        <v>12.567303339962965</v>
      </c>
      <c r="F31" s="46">
        <f>(E5*1000/M35)+0.85</f>
        <v>15.190580207118852</v>
      </c>
      <c r="G31" s="46">
        <f>(E6*1000/M35)+0.9</f>
        <v>16.34818599547356</v>
      </c>
      <c r="H31" s="43" t="s">
        <v>22</v>
      </c>
      <c r="I31" s="6"/>
      <c r="J31" s="6"/>
      <c r="L31" s="8"/>
      <c r="M31" s="8"/>
      <c r="N31" s="8"/>
      <c r="O31" s="8"/>
      <c r="P31" s="8"/>
      <c r="Q31" s="8"/>
    </row>
    <row r="32" spans="1:17" ht="30.75" customHeight="1">
      <c r="A32" s="43">
        <v>29</v>
      </c>
      <c r="B32" s="60" t="s">
        <v>107</v>
      </c>
      <c r="C32" s="44" t="s">
        <v>32</v>
      </c>
      <c r="D32" s="44" t="s">
        <v>27</v>
      </c>
      <c r="E32" s="46">
        <f>E24+0.7</f>
        <v>4.445558223289316</v>
      </c>
      <c r="F32" s="46">
        <f>F24+0.7</f>
        <v>5.093817527010804</v>
      </c>
      <c r="G32" s="46">
        <f>G24+0.7</f>
        <v>5.367527010804322</v>
      </c>
      <c r="H32" s="43" t="s">
        <v>102</v>
      </c>
      <c r="I32" s="6"/>
      <c r="J32" s="6"/>
      <c r="L32" s="8"/>
      <c r="M32" s="8"/>
      <c r="N32" s="8"/>
      <c r="O32" s="8"/>
      <c r="P32" s="8"/>
      <c r="Q32" s="8"/>
    </row>
    <row r="33" spans="1:17" ht="30.75" customHeight="1">
      <c r="A33" s="43">
        <v>30</v>
      </c>
      <c r="B33" s="61"/>
      <c r="C33" s="44" t="s">
        <v>35</v>
      </c>
      <c r="D33" s="44" t="s">
        <v>27</v>
      </c>
      <c r="E33" s="46">
        <f>E28+0.7</f>
        <v>7.715644171779141</v>
      </c>
      <c r="F33" s="46">
        <f>F28+0.7</f>
        <v>9.09601226993865</v>
      </c>
      <c r="G33" s="46">
        <f>G28+0.7</f>
        <v>9.67883435582822</v>
      </c>
      <c r="H33" s="43" t="s">
        <v>39</v>
      </c>
      <c r="I33" s="6"/>
      <c r="J33" s="6"/>
      <c r="L33" s="9"/>
      <c r="M33" s="9"/>
      <c r="N33" s="9"/>
      <c r="O33" s="9"/>
      <c r="P33" s="9"/>
      <c r="Q33" s="9"/>
    </row>
    <row r="34" spans="1:17" ht="30.75" customHeight="1">
      <c r="A34" s="43">
        <v>31</v>
      </c>
      <c r="B34" s="62"/>
      <c r="C34" s="44" t="s">
        <v>38</v>
      </c>
      <c r="D34" s="44" t="s">
        <v>27</v>
      </c>
      <c r="E34" s="46">
        <f>E31+0.7</f>
        <v>13.267303339962965</v>
      </c>
      <c r="F34" s="46">
        <f>F31+0.7</f>
        <v>15.890580207118852</v>
      </c>
      <c r="G34" s="46">
        <f>G31+0.7</f>
        <v>17.04818599547356</v>
      </c>
      <c r="H34" s="43" t="s">
        <v>40</v>
      </c>
      <c r="I34" s="6"/>
      <c r="J34" s="6"/>
      <c r="L34" s="10"/>
      <c r="M34" s="10"/>
      <c r="N34" s="10"/>
      <c r="O34" s="10"/>
      <c r="P34" s="10"/>
      <c r="Q34" s="10"/>
    </row>
    <row r="35" spans="1:21" ht="30.75" customHeight="1">
      <c r="A35" s="43">
        <v>32</v>
      </c>
      <c r="B35" s="56" t="s">
        <v>108</v>
      </c>
      <c r="C35" s="44" t="s">
        <v>35</v>
      </c>
      <c r="D35" s="44" t="s">
        <v>27</v>
      </c>
      <c r="E35" s="46">
        <f>E28+2.5</f>
        <v>9.51564417177914</v>
      </c>
      <c r="F35" s="46">
        <f>F28+2.5</f>
        <v>10.89601226993865</v>
      </c>
      <c r="G35" s="46">
        <f>G28+2.5</f>
        <v>11.478834355828221</v>
      </c>
      <c r="H35" s="43" t="s">
        <v>39</v>
      </c>
      <c r="I35" s="6"/>
      <c r="J35" s="6"/>
      <c r="L35" s="11">
        <v>1630</v>
      </c>
      <c r="M35" s="11">
        <f>((1000/M29)*6-(0.02*(1000/M29)*6))-7</f>
        <v>857.7058823529412</v>
      </c>
      <c r="N35" s="11">
        <f>((1000/N29)*8-(0.02*(1000/N29)*8))</f>
        <v>1152.9411764705883</v>
      </c>
      <c r="O35" s="11">
        <f>((1000/O29)*5-(0.04*(1000/O29)*5))</f>
        <v>489.79591836734687</v>
      </c>
      <c r="P35" s="11">
        <f>((1000/P29)*12-(0.02*(1000/P29)*12))</f>
        <v>2450</v>
      </c>
      <c r="Q35" s="11">
        <f>((1000/Q29)*17-(0.02*(1000/Q29)*17))</f>
        <v>3470.8333333333335</v>
      </c>
      <c r="R35" s="11">
        <f>((1000/R29)*8-(0.02*(1000/R29)*8))</f>
        <v>2063.1578947368425</v>
      </c>
      <c r="S35" s="11">
        <f>((1000/S29)*10-(0.02*(1000/S29)*10))</f>
        <v>2041.6666666666667</v>
      </c>
      <c r="T35" s="11">
        <f>((1000/T29)*7-(0.02*(1000/T29)*7))</f>
        <v>1008.8235294117648</v>
      </c>
      <c r="U35" s="4">
        <v>2446</v>
      </c>
    </row>
    <row r="36" spans="1:17" ht="30.75" customHeight="1">
      <c r="A36" s="43">
        <v>33</v>
      </c>
      <c r="B36" s="56"/>
      <c r="C36" s="44" t="s">
        <v>38</v>
      </c>
      <c r="D36" s="44" t="s">
        <v>27</v>
      </c>
      <c r="E36" s="46">
        <f>E31+3</f>
        <v>15.567303339962965</v>
      </c>
      <c r="F36" s="46">
        <f>F31+3</f>
        <v>18.190580207118852</v>
      </c>
      <c r="G36" s="46">
        <f>G31+3</f>
        <v>19.34818599547356</v>
      </c>
      <c r="H36" s="43" t="s">
        <v>40</v>
      </c>
      <c r="I36" s="6"/>
      <c r="J36" s="6"/>
      <c r="L36" s="59"/>
      <c r="M36" s="59"/>
      <c r="N36" s="59"/>
      <c r="O36" s="59"/>
      <c r="P36" s="59"/>
      <c r="Q36" s="59"/>
    </row>
    <row r="37" spans="1:17" ht="30.75" customHeight="1">
      <c r="A37" s="43">
        <v>34</v>
      </c>
      <c r="B37" s="43" t="s">
        <v>41</v>
      </c>
      <c r="C37" s="43" t="s">
        <v>109</v>
      </c>
      <c r="D37" s="43" t="s">
        <v>27</v>
      </c>
      <c r="E37" s="51">
        <f>E4*1000/1800+2.5</f>
        <v>8.083333333333332</v>
      </c>
      <c r="F37" s="51">
        <f>E5*1000/1800+2.5</f>
        <v>9.333333333333332</v>
      </c>
      <c r="G37" s="51">
        <f>E6*1000/1800+2.5</f>
        <v>9.86111111111111</v>
      </c>
      <c r="H37" s="43" t="s">
        <v>42</v>
      </c>
      <c r="I37" s="6"/>
      <c r="J37" s="6"/>
      <c r="L37" s="8"/>
      <c r="M37" s="8"/>
      <c r="N37" s="8"/>
      <c r="O37" s="8"/>
      <c r="P37" s="8"/>
      <c r="Q37" s="8"/>
    </row>
    <row r="38" spans="1:13" ht="30.75" customHeight="1">
      <c r="A38" s="43">
        <v>35</v>
      </c>
      <c r="B38" s="43" t="s">
        <v>43</v>
      </c>
      <c r="C38" s="43" t="s">
        <v>110</v>
      </c>
      <c r="D38" s="43" t="s">
        <v>27</v>
      </c>
      <c r="E38" s="51">
        <f>E4*1000/620+4.05</f>
        <v>20.25967741935484</v>
      </c>
      <c r="F38" s="51">
        <f>E5*1000/620+4.05</f>
        <v>23.888709677419357</v>
      </c>
      <c r="G38" s="51">
        <f>E6*1000/620+4.05</f>
        <v>25.420967741935485</v>
      </c>
      <c r="H38" s="43" t="s">
        <v>44</v>
      </c>
      <c r="I38" s="6"/>
      <c r="J38" s="6"/>
      <c r="L38" s="8"/>
      <c r="M38" s="8"/>
    </row>
    <row r="39" spans="1:15" ht="30.75" customHeight="1">
      <c r="A39" s="43">
        <v>36</v>
      </c>
      <c r="B39" s="56" t="s">
        <v>45</v>
      </c>
      <c r="C39" s="43" t="s">
        <v>46</v>
      </c>
      <c r="D39" s="43" t="s">
        <v>47</v>
      </c>
      <c r="E39" s="57">
        <v>155</v>
      </c>
      <c r="F39" s="57"/>
      <c r="G39" s="57"/>
      <c r="H39" s="43" t="s">
        <v>48</v>
      </c>
      <c r="I39" s="6">
        <f>КАЛЬКУЛЯТОР!J14</f>
        <v>0.08</v>
      </c>
      <c r="J39" s="6"/>
      <c r="L39" s="9"/>
      <c r="M39" s="9"/>
      <c r="N39" s="9"/>
      <c r="O39" s="9"/>
    </row>
    <row r="40" spans="1:15" ht="30.75" customHeight="1">
      <c r="A40" s="43">
        <v>37</v>
      </c>
      <c r="B40" s="56"/>
      <c r="C40" s="43" t="s">
        <v>49</v>
      </c>
      <c r="D40" s="43" t="s">
        <v>47</v>
      </c>
      <c r="E40" s="57">
        <v>165</v>
      </c>
      <c r="F40" s="57"/>
      <c r="G40" s="57"/>
      <c r="H40" s="43" t="s">
        <v>50</v>
      </c>
      <c r="I40" s="6">
        <f>КАЛЬКУЛЯТОР!J15</f>
        <v>0.075</v>
      </c>
      <c r="J40" s="6"/>
      <c r="L40" s="9"/>
      <c r="M40" s="9"/>
      <c r="N40" s="9"/>
      <c r="O40" s="9"/>
    </row>
    <row r="41" spans="1:10" ht="30.75" customHeight="1">
      <c r="A41" s="43">
        <v>38</v>
      </c>
      <c r="B41" s="56"/>
      <c r="C41" s="44" t="s">
        <v>51</v>
      </c>
      <c r="D41" s="44" t="s">
        <v>47</v>
      </c>
      <c r="E41" s="58">
        <v>180</v>
      </c>
      <c r="F41" s="58"/>
      <c r="G41" s="58"/>
      <c r="H41" s="43" t="s">
        <v>52</v>
      </c>
      <c r="I41" s="6">
        <f>КАЛЬКУЛЯТОР!J19</f>
        <v>0.053</v>
      </c>
      <c r="J41" s="6"/>
    </row>
    <row r="42" spans="1:10" ht="30.75" customHeight="1">
      <c r="A42" s="43">
        <v>39</v>
      </c>
      <c r="B42" s="56" t="s">
        <v>104</v>
      </c>
      <c r="C42" s="43" t="s">
        <v>46</v>
      </c>
      <c r="D42" s="43" t="s">
        <v>47</v>
      </c>
      <c r="E42" s="57">
        <f>E39+45</f>
        <v>200</v>
      </c>
      <c r="F42" s="57"/>
      <c r="G42" s="57"/>
      <c r="H42" s="43" t="s">
        <v>53</v>
      </c>
      <c r="I42" s="6"/>
      <c r="J42" s="6"/>
    </row>
    <row r="43" spans="1:10" ht="30.75" customHeight="1">
      <c r="A43" s="43">
        <v>40</v>
      </c>
      <c r="B43" s="56"/>
      <c r="C43" s="43" t="s">
        <v>49</v>
      </c>
      <c r="D43" s="43" t="s">
        <v>47</v>
      </c>
      <c r="E43" s="57">
        <f>E40+49</f>
        <v>214</v>
      </c>
      <c r="F43" s="57"/>
      <c r="G43" s="57"/>
      <c r="H43" s="43" t="s">
        <v>54</v>
      </c>
      <c r="I43" s="6"/>
      <c r="J43" s="6"/>
    </row>
    <row r="44" spans="1:10" ht="30.75" customHeight="1">
      <c r="A44" s="43">
        <v>41</v>
      </c>
      <c r="B44" s="56"/>
      <c r="C44" s="43" t="s">
        <v>55</v>
      </c>
      <c r="D44" s="43" t="s">
        <v>47</v>
      </c>
      <c r="E44" s="57">
        <v>260</v>
      </c>
      <c r="F44" s="57"/>
      <c r="G44" s="57"/>
      <c r="H44" s="43" t="s">
        <v>56</v>
      </c>
      <c r="I44" s="6"/>
      <c r="J44" s="6"/>
    </row>
    <row r="45" ht="22.5">
      <c r="A45" s="6"/>
    </row>
    <row r="46" ht="22.5">
      <c r="A46" s="6"/>
    </row>
    <row r="47" ht="22.5">
      <c r="A47" s="6"/>
    </row>
    <row r="48" ht="22.5">
      <c r="A48" s="6"/>
    </row>
    <row r="49" ht="22.5">
      <c r="A49" s="6"/>
    </row>
    <row r="50" ht="22.5">
      <c r="A50" s="6"/>
    </row>
    <row r="51" ht="22.5">
      <c r="A51" s="6"/>
    </row>
    <row r="52" ht="22.5">
      <c r="A52" s="6"/>
    </row>
    <row r="53" ht="22.5">
      <c r="A53" s="6"/>
    </row>
    <row r="54" ht="22.5">
      <c r="A54" s="6"/>
    </row>
    <row r="55" ht="22.5">
      <c r="A55" s="6"/>
    </row>
    <row r="56" ht="22.5">
      <c r="A56" s="6"/>
    </row>
    <row r="57" ht="22.5">
      <c r="A57" s="6"/>
    </row>
    <row r="58" ht="22.5">
      <c r="A58" s="6"/>
    </row>
    <row r="59" ht="22.5">
      <c r="A59" s="6"/>
    </row>
    <row r="60" ht="22.5">
      <c r="A60" s="6"/>
    </row>
    <row r="61" ht="22.5">
      <c r="A61" s="6"/>
    </row>
    <row r="62" ht="22.5">
      <c r="A62" s="6"/>
    </row>
    <row r="63" ht="22.5">
      <c r="A63" s="6"/>
    </row>
    <row r="64" ht="22.5">
      <c r="A64" s="6"/>
    </row>
    <row r="65" ht="22.5">
      <c r="A65" s="6"/>
    </row>
    <row r="66" ht="22.5">
      <c r="A66" s="6"/>
    </row>
    <row r="67" ht="22.5">
      <c r="A67" s="6"/>
    </row>
    <row r="68" ht="22.5">
      <c r="A68" s="6"/>
    </row>
    <row r="69" ht="22.5">
      <c r="A69" s="6"/>
    </row>
    <row r="70" ht="22.5">
      <c r="A70" s="6"/>
    </row>
    <row r="71" ht="22.5">
      <c r="A71" s="6"/>
    </row>
    <row r="72" ht="22.5">
      <c r="A72" s="6"/>
    </row>
    <row r="73" ht="22.5">
      <c r="A73" s="6"/>
    </row>
    <row r="74" ht="22.5">
      <c r="A74" s="6"/>
    </row>
    <row r="75" ht="22.5">
      <c r="A75" s="6"/>
    </row>
    <row r="76" ht="22.5">
      <c r="A76" s="6"/>
    </row>
    <row r="77" ht="22.5">
      <c r="A77" s="6"/>
    </row>
    <row r="78" ht="22.5">
      <c r="A78" s="6"/>
    </row>
    <row r="79" ht="22.5">
      <c r="A79" s="6"/>
    </row>
    <row r="80" ht="22.5">
      <c r="A80" s="6"/>
    </row>
    <row r="81" ht="22.5">
      <c r="A81" s="6"/>
    </row>
    <row r="82" ht="22.5">
      <c r="A82" s="6"/>
    </row>
    <row r="83" ht="22.5">
      <c r="A83" s="6"/>
    </row>
    <row r="84" ht="22.5">
      <c r="A84" s="6"/>
    </row>
    <row r="85" ht="22.5">
      <c r="A85" s="6"/>
    </row>
    <row r="86" ht="22.5">
      <c r="A86" s="6"/>
    </row>
    <row r="87" ht="22.5">
      <c r="A87" s="6"/>
    </row>
    <row r="88" ht="22.5">
      <c r="A88" s="6"/>
    </row>
    <row r="89" ht="22.5">
      <c r="A89" s="6"/>
    </row>
    <row r="90" ht="22.5">
      <c r="A90" s="6"/>
    </row>
    <row r="91" ht="22.5">
      <c r="A91" s="6"/>
    </row>
    <row r="92" ht="22.5">
      <c r="A92" s="6"/>
    </row>
    <row r="93" ht="22.5">
      <c r="A93" s="6"/>
    </row>
    <row r="94" ht="22.5">
      <c r="A94" s="6"/>
    </row>
    <row r="95" ht="22.5">
      <c r="A95" s="6"/>
    </row>
    <row r="96" ht="22.5">
      <c r="A96" s="6"/>
    </row>
    <row r="97" ht="22.5">
      <c r="A97" s="6"/>
    </row>
    <row r="98" ht="22.5">
      <c r="A98" s="6"/>
    </row>
    <row r="99" ht="22.5">
      <c r="A99" s="6"/>
    </row>
    <row r="100" ht="22.5">
      <c r="A100" s="6"/>
    </row>
    <row r="101" ht="22.5">
      <c r="A101" s="6"/>
    </row>
    <row r="102" ht="22.5">
      <c r="A102" s="6"/>
    </row>
    <row r="103" ht="22.5">
      <c r="A103" s="6"/>
    </row>
    <row r="104" ht="22.5">
      <c r="A104" s="6"/>
    </row>
    <row r="105" ht="22.5">
      <c r="A105" s="6"/>
    </row>
    <row r="106" ht="22.5">
      <c r="A106" s="6"/>
    </row>
    <row r="107" ht="22.5">
      <c r="A107" s="6"/>
    </row>
    <row r="108" ht="22.5">
      <c r="A108" s="6"/>
    </row>
    <row r="109" ht="22.5">
      <c r="A109" s="6"/>
    </row>
    <row r="110" ht="22.5">
      <c r="A110" s="6"/>
    </row>
    <row r="111" ht="22.5">
      <c r="A111" s="6"/>
    </row>
    <row r="112" ht="22.5">
      <c r="A112" s="6"/>
    </row>
    <row r="113" ht="22.5">
      <c r="A113" s="6"/>
    </row>
    <row r="114" ht="22.5">
      <c r="A114" s="6"/>
    </row>
    <row r="115" ht="22.5">
      <c r="A115" s="6"/>
    </row>
    <row r="116" ht="22.5">
      <c r="A116" s="6"/>
    </row>
    <row r="117" ht="22.5">
      <c r="A117" s="6"/>
    </row>
    <row r="118" ht="22.5">
      <c r="A118" s="6"/>
    </row>
    <row r="119" ht="22.5">
      <c r="A119" s="6"/>
    </row>
    <row r="120" ht="22.5">
      <c r="A120" s="6"/>
    </row>
    <row r="121" ht="22.5">
      <c r="A121" s="6"/>
    </row>
    <row r="122" ht="22.5">
      <c r="A122" s="6"/>
    </row>
    <row r="123" ht="22.5">
      <c r="A123" s="6"/>
    </row>
    <row r="124" ht="22.5">
      <c r="A124" s="6"/>
    </row>
    <row r="125" ht="22.5">
      <c r="A125" s="6"/>
    </row>
    <row r="126" ht="22.5">
      <c r="A126" s="6"/>
    </row>
    <row r="127" ht="22.5">
      <c r="A127" s="6"/>
    </row>
    <row r="128" ht="22.5">
      <c r="A128" s="6"/>
    </row>
    <row r="129" ht="22.5">
      <c r="A129" s="6"/>
    </row>
    <row r="130" ht="22.5">
      <c r="A130" s="6"/>
    </row>
    <row r="131" ht="22.5">
      <c r="A131" s="6"/>
    </row>
    <row r="132" ht="22.5">
      <c r="A132" s="6"/>
    </row>
    <row r="133" ht="22.5">
      <c r="A133" s="6"/>
    </row>
    <row r="134" ht="22.5">
      <c r="A134" s="6"/>
    </row>
    <row r="135" ht="22.5">
      <c r="A135" s="6"/>
    </row>
    <row r="136" ht="22.5">
      <c r="A136" s="6"/>
    </row>
    <row r="137" ht="22.5">
      <c r="A137" s="6"/>
    </row>
    <row r="138" ht="22.5">
      <c r="A138" s="6"/>
    </row>
    <row r="139" ht="22.5">
      <c r="A139" s="6"/>
    </row>
    <row r="140" ht="22.5">
      <c r="A140" s="6"/>
    </row>
    <row r="141" ht="22.5">
      <c r="A141" s="6"/>
    </row>
    <row r="142" ht="22.5">
      <c r="A142" s="6"/>
    </row>
    <row r="143" ht="22.5">
      <c r="A143" s="6"/>
    </row>
    <row r="144" ht="22.5">
      <c r="A144" s="6"/>
    </row>
    <row r="145" ht="22.5">
      <c r="A145" s="6"/>
    </row>
    <row r="146" ht="22.5">
      <c r="A146" s="6"/>
    </row>
    <row r="147" ht="22.5">
      <c r="A147" s="6"/>
    </row>
    <row r="148" ht="22.5">
      <c r="A148" s="6"/>
    </row>
    <row r="149" ht="22.5">
      <c r="A149" s="6"/>
    </row>
    <row r="150" ht="22.5">
      <c r="A150" s="6"/>
    </row>
    <row r="151" ht="22.5">
      <c r="A151" s="6"/>
    </row>
    <row r="152" ht="22.5">
      <c r="A152" s="6"/>
    </row>
    <row r="153" ht="22.5">
      <c r="A153" s="6"/>
    </row>
    <row r="154" ht="22.5">
      <c r="A154" s="6"/>
    </row>
    <row r="155" ht="22.5">
      <c r="A155" s="6"/>
    </row>
    <row r="156" ht="22.5">
      <c r="A156" s="6"/>
    </row>
    <row r="157" ht="22.5">
      <c r="A157" s="6"/>
    </row>
    <row r="158" ht="22.5">
      <c r="A158" s="6"/>
    </row>
    <row r="159" ht="22.5">
      <c r="A159" s="6"/>
    </row>
    <row r="160" ht="22.5">
      <c r="A160" s="6"/>
    </row>
    <row r="161" ht="22.5">
      <c r="A161" s="6"/>
    </row>
    <row r="162" ht="22.5">
      <c r="A162" s="6"/>
    </row>
    <row r="163" ht="22.5">
      <c r="A163" s="6"/>
    </row>
    <row r="164" ht="22.5">
      <c r="A164" s="6"/>
    </row>
    <row r="165" ht="22.5">
      <c r="A165" s="6"/>
    </row>
    <row r="166" ht="22.5">
      <c r="A166" s="6"/>
    </row>
    <row r="167" ht="22.5">
      <c r="A167" s="6"/>
    </row>
    <row r="168" ht="22.5">
      <c r="A168" s="6"/>
    </row>
    <row r="169" ht="22.5">
      <c r="A169" s="6"/>
    </row>
    <row r="170" ht="22.5">
      <c r="A170" s="6"/>
    </row>
    <row r="171" ht="22.5">
      <c r="A171" s="6"/>
    </row>
    <row r="172" ht="22.5">
      <c r="A172" s="6"/>
    </row>
  </sheetData>
  <sheetProtection selectLockedCells="1" selectUnlockedCells="1"/>
  <mergeCells count="36">
    <mergeCell ref="A1:H1"/>
    <mergeCell ref="A2:C2"/>
    <mergeCell ref="D2:G2"/>
    <mergeCell ref="B3:C3"/>
    <mergeCell ref="E3:G3"/>
    <mergeCell ref="B4:B9"/>
    <mergeCell ref="E4:G4"/>
    <mergeCell ref="E5:G5"/>
    <mergeCell ref="E6:G6"/>
    <mergeCell ref="E7:G7"/>
    <mergeCell ref="E8:G8"/>
    <mergeCell ref="E9:G9"/>
    <mergeCell ref="B10:B15"/>
    <mergeCell ref="E10:G10"/>
    <mergeCell ref="E11:G11"/>
    <mergeCell ref="E12:G12"/>
    <mergeCell ref="E13:G13"/>
    <mergeCell ref="E14:G14"/>
    <mergeCell ref="E15:G15"/>
    <mergeCell ref="B24:B31"/>
    <mergeCell ref="B35:B36"/>
    <mergeCell ref="L36:Q36"/>
    <mergeCell ref="B32:B34"/>
    <mergeCell ref="B16:B19"/>
    <mergeCell ref="E16:G16"/>
    <mergeCell ref="E17:G17"/>
    <mergeCell ref="E18:G18"/>
    <mergeCell ref="E19:G19"/>
    <mergeCell ref="B42:B44"/>
    <mergeCell ref="E42:G42"/>
    <mergeCell ref="E43:G43"/>
    <mergeCell ref="E44:G44"/>
    <mergeCell ref="B39:B41"/>
    <mergeCell ref="E39:G39"/>
    <mergeCell ref="E40:G40"/>
    <mergeCell ref="E41:G41"/>
  </mergeCells>
  <hyperlinks>
    <hyperlink ref="A1" r:id="rId1" display="ООО &quot;Фирма &quot;Ювента&quot; Юридический адрес:153021 г.Иваново, 1-я Районная,д.78 тел.(4932)33-95-87, 38-41-44, ИНН 3702081542, КПП 370201001 Р/с 40702810017000160171 в Ивановское ОСБ № 8639 г.Иваново К/с 30101810000000000608, БИК 042406608, WWW.OOOUVENTA.RU, E-M"/>
  </hyperlink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L34"/>
  <sheetViews>
    <sheetView view="pageBreakPreview" zoomScale="50" zoomScaleSheetLayoutView="50" zoomScalePageLayoutView="0" workbookViewId="0" topLeftCell="B1">
      <selection activeCell="O14" sqref="I1:AB16384"/>
    </sheetView>
  </sheetViews>
  <sheetFormatPr defaultColWidth="11.50390625" defaultRowHeight="12.75"/>
  <cols>
    <col min="1" max="1" width="2.125" style="0" customWidth="1"/>
    <col min="2" max="2" width="6.50390625" style="0" customWidth="1"/>
    <col min="3" max="3" width="35.875" style="12" customWidth="1"/>
    <col min="4" max="4" width="36.375" style="12" customWidth="1"/>
    <col min="5" max="5" width="10.00390625" style="0" customWidth="1"/>
    <col min="6" max="6" width="25.875" style="0" customWidth="1"/>
    <col min="7" max="7" width="13.50390625" style="0" customWidth="1"/>
    <col min="8" max="8" width="12.00390625" style="13" customWidth="1"/>
    <col min="9" max="10" width="12.00390625" style="14" customWidth="1"/>
    <col min="11" max="11" width="12.00390625" style="13" customWidth="1"/>
    <col min="12" max="12" width="14.625" style="0" customWidth="1"/>
  </cols>
  <sheetData>
    <row r="2" spans="2:12" ht="21.75" customHeight="1">
      <c r="B2" s="81" t="s">
        <v>57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21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51" customHeight="1">
      <c r="B4" s="15" t="s">
        <v>2</v>
      </c>
      <c r="C4" s="82" t="s">
        <v>58</v>
      </c>
      <c r="D4" s="82"/>
      <c r="E4" s="16" t="s">
        <v>59</v>
      </c>
      <c r="F4" s="17" t="s">
        <v>60</v>
      </c>
      <c r="G4" s="18" t="s">
        <v>61</v>
      </c>
      <c r="H4" s="19" t="s">
        <v>62</v>
      </c>
      <c r="I4" s="19" t="s">
        <v>63</v>
      </c>
      <c r="J4" s="19" t="s">
        <v>64</v>
      </c>
      <c r="K4" s="19" t="s">
        <v>65</v>
      </c>
      <c r="L4" s="20" t="s">
        <v>66</v>
      </c>
    </row>
    <row r="5" spans="2:12" ht="24" customHeight="1">
      <c r="B5" s="21">
        <v>1</v>
      </c>
      <c r="C5" s="78" t="s">
        <v>67</v>
      </c>
      <c r="D5" s="78"/>
      <c r="E5" s="22" t="s">
        <v>68</v>
      </c>
      <c r="F5" s="23"/>
      <c r="G5" s="24">
        <f>ROUNDUP(F5/1000,0)</f>
        <v>0</v>
      </c>
      <c r="H5" s="25"/>
      <c r="I5" s="26">
        <v>31.5</v>
      </c>
      <c r="J5" s="26">
        <v>0.1822</v>
      </c>
      <c r="K5" s="27">
        <f>G5*I5</f>
        <v>0</v>
      </c>
      <c r="L5" s="28">
        <f aca="true" t="shared" si="0" ref="L5:L13">G5*J5</f>
        <v>0</v>
      </c>
    </row>
    <row r="6" spans="2:12" ht="24" customHeight="1">
      <c r="B6" s="21">
        <v>2</v>
      </c>
      <c r="C6" s="78" t="s">
        <v>69</v>
      </c>
      <c r="D6" s="78"/>
      <c r="E6" s="22" t="s">
        <v>68</v>
      </c>
      <c r="F6" s="23"/>
      <c r="G6" s="24">
        <f>ROUNDUP(F6/1000,0)</f>
        <v>0</v>
      </c>
      <c r="H6" s="25"/>
      <c r="I6" s="26">
        <v>27.9</v>
      </c>
      <c r="J6" s="26">
        <v>0.16</v>
      </c>
      <c r="K6" s="27">
        <f>G6*I6</f>
        <v>0</v>
      </c>
      <c r="L6" s="28">
        <f t="shared" si="0"/>
        <v>0</v>
      </c>
    </row>
    <row r="7" spans="2:12" ht="24" customHeight="1">
      <c r="B7" s="21">
        <v>3</v>
      </c>
      <c r="C7" s="78" t="s">
        <v>70</v>
      </c>
      <c r="D7" s="78"/>
      <c r="E7" s="22" t="s">
        <v>68</v>
      </c>
      <c r="F7" s="23"/>
      <c r="G7" s="24">
        <f>ROUNDUP(F7/1000,0)</f>
        <v>0</v>
      </c>
      <c r="H7" s="25"/>
      <c r="I7" s="26">
        <v>23.4</v>
      </c>
      <c r="J7" s="26">
        <v>0.11</v>
      </c>
      <c r="K7" s="27">
        <f>G7*I7</f>
        <v>0</v>
      </c>
      <c r="L7" s="29">
        <f t="shared" si="0"/>
        <v>0</v>
      </c>
    </row>
    <row r="8" spans="2:12" ht="24" customHeight="1">
      <c r="B8" s="21">
        <v>4</v>
      </c>
      <c r="C8" s="78" t="s">
        <v>71</v>
      </c>
      <c r="D8" s="78"/>
      <c r="E8" s="22" t="s">
        <v>68</v>
      </c>
      <c r="F8" s="23"/>
      <c r="G8" s="24">
        <f>ROUNDUP(F8/250,0)</f>
        <v>0</v>
      </c>
      <c r="H8" s="25">
        <v>250</v>
      </c>
      <c r="I8" s="26">
        <v>8.1</v>
      </c>
      <c r="J8" s="26">
        <v>0.053</v>
      </c>
      <c r="K8" s="27">
        <f>F8*I8/H8</f>
        <v>0</v>
      </c>
      <c r="L8" s="28">
        <f t="shared" si="0"/>
        <v>0</v>
      </c>
    </row>
    <row r="9" spans="2:12" ht="24" customHeight="1">
      <c r="B9" s="21">
        <v>5</v>
      </c>
      <c r="C9" s="78" t="s">
        <v>72</v>
      </c>
      <c r="D9" s="78"/>
      <c r="E9" s="22" t="s">
        <v>68</v>
      </c>
      <c r="F9" s="23"/>
      <c r="G9" s="24">
        <f>ROUNDUP(F9/250,0)</f>
        <v>0</v>
      </c>
      <c r="H9" s="25"/>
      <c r="I9" s="26">
        <v>5.6</v>
      </c>
      <c r="J9" s="26">
        <v>0.09</v>
      </c>
      <c r="K9" s="27">
        <f>G9*I9</f>
        <v>0</v>
      </c>
      <c r="L9" s="28">
        <f t="shared" si="0"/>
        <v>0</v>
      </c>
    </row>
    <row r="10" spans="2:12" ht="24" customHeight="1">
      <c r="B10" s="21">
        <v>6</v>
      </c>
      <c r="C10" s="78" t="s">
        <v>73</v>
      </c>
      <c r="D10" s="78"/>
      <c r="E10" s="22" t="s">
        <v>68</v>
      </c>
      <c r="F10" s="23"/>
      <c r="G10" s="24">
        <f>ROUNDUP(F10/500,0)</f>
        <v>0</v>
      </c>
      <c r="H10" s="25">
        <v>500</v>
      </c>
      <c r="I10" s="26">
        <v>11.7</v>
      </c>
      <c r="J10" s="26">
        <v>0.0935</v>
      </c>
      <c r="K10" s="27">
        <f>(F10*I10)/H10</f>
        <v>0</v>
      </c>
      <c r="L10" s="29">
        <f t="shared" si="0"/>
        <v>0</v>
      </c>
    </row>
    <row r="11" spans="2:12" ht="24" customHeight="1">
      <c r="B11" s="21">
        <v>7</v>
      </c>
      <c r="C11" s="78" t="s">
        <v>74</v>
      </c>
      <c r="D11" s="78"/>
      <c r="E11" s="22" t="s">
        <v>68</v>
      </c>
      <c r="F11" s="23"/>
      <c r="G11" s="24">
        <f>ROUNDUP(F11/500,0)</f>
        <v>0</v>
      </c>
      <c r="H11" s="25">
        <v>500</v>
      </c>
      <c r="I11" s="26">
        <v>16.2</v>
      </c>
      <c r="J11" s="26">
        <v>0.07</v>
      </c>
      <c r="K11" s="27">
        <f>(F11*I11)/H11</f>
        <v>0</v>
      </c>
      <c r="L11" s="29">
        <f t="shared" si="0"/>
        <v>0</v>
      </c>
    </row>
    <row r="12" spans="2:12" ht="24" customHeight="1">
      <c r="B12" s="21">
        <v>8</v>
      </c>
      <c r="C12" s="78" t="s">
        <v>75</v>
      </c>
      <c r="D12" s="78"/>
      <c r="E12" s="22" t="s">
        <v>68</v>
      </c>
      <c r="F12" s="23"/>
      <c r="G12" s="24">
        <f>ROUNDUP(F12/600,0)</f>
        <v>0</v>
      </c>
      <c r="H12" s="25">
        <v>600</v>
      </c>
      <c r="I12" s="26">
        <v>14.58</v>
      </c>
      <c r="J12" s="26">
        <v>0.095</v>
      </c>
      <c r="K12" s="27">
        <f>(F12*I12)/H12</f>
        <v>0</v>
      </c>
      <c r="L12" s="29">
        <f t="shared" si="0"/>
        <v>0</v>
      </c>
    </row>
    <row r="13" spans="2:12" ht="24" customHeight="1">
      <c r="B13" s="21">
        <v>9</v>
      </c>
      <c r="C13" s="78" t="s">
        <v>76</v>
      </c>
      <c r="D13" s="78"/>
      <c r="E13" s="22" t="s">
        <v>68</v>
      </c>
      <c r="F13" s="23"/>
      <c r="G13" s="24">
        <f>ROUNDUP(F13/500,0)</f>
        <v>0</v>
      </c>
      <c r="H13" s="25">
        <v>500</v>
      </c>
      <c r="I13" s="26">
        <v>16.2</v>
      </c>
      <c r="J13" s="26">
        <v>0.07</v>
      </c>
      <c r="K13" s="27">
        <f>(F13*I13)/H13</f>
        <v>0</v>
      </c>
      <c r="L13" s="29">
        <f t="shared" si="0"/>
        <v>0</v>
      </c>
    </row>
    <row r="14" spans="2:12" ht="24" customHeight="1">
      <c r="B14" s="21">
        <v>10</v>
      </c>
      <c r="C14" s="79" t="s">
        <v>77</v>
      </c>
      <c r="D14" s="79"/>
      <c r="E14" s="22" t="s">
        <v>27</v>
      </c>
      <c r="F14" s="30"/>
      <c r="G14" s="24">
        <f>ROUNDUP(F14/44,0)</f>
        <v>0</v>
      </c>
      <c r="H14" s="25">
        <v>44</v>
      </c>
      <c r="I14" s="26">
        <v>11</v>
      </c>
      <c r="J14" s="26">
        <v>0.08</v>
      </c>
      <c r="K14" s="27">
        <f>(F14/H14)*I14</f>
        <v>0</v>
      </c>
      <c r="L14" s="31">
        <f aca="true" t="shared" si="1" ref="L14:L31">G14*J14</f>
        <v>0</v>
      </c>
    </row>
    <row r="15" spans="2:12" ht="24" customHeight="1">
      <c r="B15" s="21">
        <v>11</v>
      </c>
      <c r="C15" s="79" t="s">
        <v>78</v>
      </c>
      <c r="D15" s="79"/>
      <c r="E15" s="22" t="s">
        <v>27</v>
      </c>
      <c r="F15" s="30"/>
      <c r="G15" s="24">
        <f>ROUNDUP(F15/100,0)</f>
        <v>0</v>
      </c>
      <c r="H15" s="25">
        <v>100</v>
      </c>
      <c r="I15" s="26">
        <v>10</v>
      </c>
      <c r="J15" s="26">
        <v>0.075</v>
      </c>
      <c r="K15" s="27">
        <f>(F15*I15)/H15</f>
        <v>0</v>
      </c>
      <c r="L15" s="29">
        <f>G15*J15</f>
        <v>0</v>
      </c>
    </row>
    <row r="16" spans="2:12" ht="24" customHeight="1">
      <c r="B16" s="21">
        <v>12</v>
      </c>
      <c r="C16" s="79" t="s">
        <v>79</v>
      </c>
      <c r="D16" s="79"/>
      <c r="E16" s="22" t="s">
        <v>27</v>
      </c>
      <c r="F16" s="30"/>
      <c r="G16" s="24">
        <f>ROUNDUP(F16/150,0)</f>
        <v>0</v>
      </c>
      <c r="H16" s="25">
        <v>150</v>
      </c>
      <c r="I16" s="26">
        <v>7.5</v>
      </c>
      <c r="J16" s="26">
        <v>0.075</v>
      </c>
      <c r="K16" s="27">
        <f>(F16*I16)/H16</f>
        <v>0</v>
      </c>
      <c r="L16" s="29">
        <f>G16*J16</f>
        <v>0</v>
      </c>
    </row>
    <row r="17" spans="2:12" ht="24" customHeight="1">
      <c r="B17" s="21">
        <v>13</v>
      </c>
      <c r="C17" s="80" t="s">
        <v>80</v>
      </c>
      <c r="D17" s="80"/>
      <c r="E17" s="22" t="s">
        <v>27</v>
      </c>
      <c r="F17" s="30"/>
      <c r="G17" s="24">
        <f>ROUNDUP(F17/36,0)</f>
        <v>0</v>
      </c>
      <c r="H17" s="25">
        <v>36</v>
      </c>
      <c r="I17" s="26">
        <v>9</v>
      </c>
      <c r="J17" s="26">
        <v>0.0558</v>
      </c>
      <c r="K17" s="27">
        <f>(F17*I17)/H17</f>
        <v>0</v>
      </c>
      <c r="L17" s="29">
        <f>G17*J17</f>
        <v>0</v>
      </c>
    </row>
    <row r="18" spans="2:12" ht="24" customHeight="1">
      <c r="B18" s="21">
        <v>14</v>
      </c>
      <c r="C18" s="80" t="s">
        <v>81</v>
      </c>
      <c r="D18" s="80"/>
      <c r="E18" s="22" t="s">
        <v>27</v>
      </c>
      <c r="F18" s="30"/>
      <c r="G18" s="24">
        <f>ROUNDUP(F18/100,0)</f>
        <v>0</v>
      </c>
      <c r="H18" s="25">
        <v>100</v>
      </c>
      <c r="I18" s="26">
        <v>10</v>
      </c>
      <c r="J18" s="26">
        <v>0.0558</v>
      </c>
      <c r="K18" s="27">
        <f>(F18*I18)/H18</f>
        <v>0</v>
      </c>
      <c r="L18" s="29">
        <f>G18*J18</f>
        <v>0</v>
      </c>
    </row>
    <row r="19" spans="2:12" ht="24" customHeight="1">
      <c r="B19" s="21">
        <v>15</v>
      </c>
      <c r="C19" s="78" t="s">
        <v>82</v>
      </c>
      <c r="D19" s="78"/>
      <c r="E19" s="22" t="s">
        <v>27</v>
      </c>
      <c r="F19" s="30"/>
      <c r="G19" s="24">
        <f>ROUNDUP(F19/300,0)</f>
        <v>0</v>
      </c>
      <c r="H19" s="25">
        <v>300</v>
      </c>
      <c r="I19" s="26">
        <v>13</v>
      </c>
      <c r="J19" s="26">
        <v>0.053</v>
      </c>
      <c r="K19" s="27">
        <f>F19*I19/H19</f>
        <v>0</v>
      </c>
      <c r="L19" s="28">
        <f t="shared" si="1"/>
        <v>0</v>
      </c>
    </row>
    <row r="20" spans="2:12" ht="24" customHeight="1">
      <c r="B20" s="21">
        <v>16</v>
      </c>
      <c r="C20" s="78" t="s">
        <v>83</v>
      </c>
      <c r="D20" s="78"/>
      <c r="E20" s="22" t="s">
        <v>27</v>
      </c>
      <c r="F20" s="30"/>
      <c r="G20" s="24">
        <f>ROUNDUP(F20/420,0)</f>
        <v>0</v>
      </c>
      <c r="H20" s="25">
        <v>420</v>
      </c>
      <c r="I20" s="26">
        <v>12</v>
      </c>
      <c r="J20" s="26">
        <v>0.053</v>
      </c>
      <c r="K20" s="27">
        <f aca="true" t="shared" si="2" ref="K20:K30">F20*I20/H20</f>
        <v>0</v>
      </c>
      <c r="L20" s="28">
        <f t="shared" si="1"/>
        <v>0</v>
      </c>
    </row>
    <row r="21" spans="2:12" ht="24" customHeight="1">
      <c r="B21" s="21">
        <v>17</v>
      </c>
      <c r="C21" s="78" t="s">
        <v>84</v>
      </c>
      <c r="D21" s="78"/>
      <c r="E21" s="22" t="s">
        <v>27</v>
      </c>
      <c r="F21" s="30"/>
      <c r="G21" s="24">
        <f>ROUNDUP(F21/600,0)</f>
        <v>0</v>
      </c>
      <c r="H21" s="25">
        <v>600</v>
      </c>
      <c r="I21" s="26">
        <v>14</v>
      </c>
      <c r="J21" s="26">
        <v>0.053</v>
      </c>
      <c r="K21" s="27">
        <f t="shared" si="2"/>
        <v>0</v>
      </c>
      <c r="L21" s="28">
        <f t="shared" si="1"/>
        <v>0</v>
      </c>
    </row>
    <row r="22" spans="2:12" ht="24" customHeight="1">
      <c r="B22" s="21">
        <v>18</v>
      </c>
      <c r="C22" s="78" t="s">
        <v>85</v>
      </c>
      <c r="D22" s="78"/>
      <c r="E22" s="22" t="s">
        <v>27</v>
      </c>
      <c r="F22" s="30"/>
      <c r="G22" s="24">
        <f>ROUNDUP(F22/720,0)</f>
        <v>0</v>
      </c>
      <c r="H22" s="25">
        <v>720</v>
      </c>
      <c r="I22" s="26">
        <v>11</v>
      </c>
      <c r="J22" s="26">
        <v>0.053</v>
      </c>
      <c r="K22" s="27">
        <f t="shared" si="2"/>
        <v>0</v>
      </c>
      <c r="L22" s="28">
        <f t="shared" si="1"/>
        <v>0</v>
      </c>
    </row>
    <row r="23" spans="2:12" ht="24" customHeight="1">
      <c r="B23" s="21">
        <v>19</v>
      </c>
      <c r="C23" s="78" t="s">
        <v>86</v>
      </c>
      <c r="D23" s="78"/>
      <c r="E23" s="22" t="s">
        <v>27</v>
      </c>
      <c r="F23" s="30"/>
      <c r="G23" s="24">
        <f>ROUNDUP(F23/250,0)</f>
        <v>0</v>
      </c>
      <c r="H23" s="25">
        <v>250</v>
      </c>
      <c r="I23" s="26">
        <v>5.5</v>
      </c>
      <c r="J23" s="26">
        <v>0.0558</v>
      </c>
      <c r="K23" s="27">
        <f t="shared" si="2"/>
        <v>0</v>
      </c>
      <c r="L23" s="28">
        <f t="shared" si="1"/>
        <v>0</v>
      </c>
    </row>
    <row r="24" spans="2:12" ht="24" customHeight="1">
      <c r="B24" s="21">
        <v>20</v>
      </c>
      <c r="C24" s="78" t="s">
        <v>87</v>
      </c>
      <c r="D24" s="78"/>
      <c r="E24" s="22" t="s">
        <v>27</v>
      </c>
      <c r="F24" s="30"/>
      <c r="G24" s="24">
        <f>ROUNDUP(F24/500,0)</f>
        <v>0</v>
      </c>
      <c r="H24" s="25">
        <v>500</v>
      </c>
      <c r="I24" s="26">
        <v>6</v>
      </c>
      <c r="J24" s="26">
        <v>0.0558</v>
      </c>
      <c r="K24" s="27">
        <f t="shared" si="2"/>
        <v>0</v>
      </c>
      <c r="L24" s="28">
        <f t="shared" si="1"/>
        <v>0</v>
      </c>
    </row>
    <row r="25" spans="2:12" ht="24" customHeight="1">
      <c r="B25" s="21">
        <v>21</v>
      </c>
      <c r="C25" s="78" t="s">
        <v>88</v>
      </c>
      <c r="D25" s="78"/>
      <c r="E25" s="22" t="s">
        <v>27</v>
      </c>
      <c r="F25" s="30"/>
      <c r="G25" s="24">
        <f>ROUNDUP(F25/400,0)</f>
        <v>0</v>
      </c>
      <c r="H25" s="25">
        <v>400</v>
      </c>
      <c r="I25" s="26">
        <v>5.3</v>
      </c>
      <c r="J25" s="26">
        <v>0.0558</v>
      </c>
      <c r="K25" s="27">
        <f t="shared" si="2"/>
        <v>0</v>
      </c>
      <c r="L25" s="32">
        <f t="shared" si="1"/>
        <v>0</v>
      </c>
    </row>
    <row r="26" spans="2:12" ht="24" customHeight="1">
      <c r="B26" s="21">
        <v>22</v>
      </c>
      <c r="C26" s="78" t="s">
        <v>89</v>
      </c>
      <c r="D26" s="78"/>
      <c r="E26" s="22" t="s">
        <v>90</v>
      </c>
      <c r="F26" s="30"/>
      <c r="G26" s="24">
        <f>ROUNDUP(F26/700,0)</f>
        <v>0</v>
      </c>
      <c r="H26" s="25">
        <v>700</v>
      </c>
      <c r="I26" s="26">
        <v>7.4</v>
      </c>
      <c r="J26" s="26">
        <v>0.0558</v>
      </c>
      <c r="K26" s="27">
        <f t="shared" si="2"/>
        <v>0</v>
      </c>
      <c r="L26" s="32">
        <f t="shared" si="1"/>
        <v>0</v>
      </c>
    </row>
    <row r="27" spans="2:12" ht="24" customHeight="1">
      <c r="B27" s="21">
        <v>23</v>
      </c>
      <c r="C27" s="78" t="s">
        <v>91</v>
      </c>
      <c r="D27" s="78"/>
      <c r="E27" s="22" t="s">
        <v>92</v>
      </c>
      <c r="F27" s="33"/>
      <c r="G27" s="24">
        <f>ROUNDUP(F27/300,0)</f>
        <v>0</v>
      </c>
      <c r="H27" s="25">
        <v>300</v>
      </c>
      <c r="I27" s="26">
        <v>5</v>
      </c>
      <c r="J27" s="26">
        <v>0.059</v>
      </c>
      <c r="K27" s="27">
        <f t="shared" si="2"/>
        <v>0</v>
      </c>
      <c r="L27" s="29">
        <f>G27*J27</f>
        <v>0</v>
      </c>
    </row>
    <row r="28" spans="2:12" ht="24" customHeight="1">
      <c r="B28" s="21">
        <v>24</v>
      </c>
      <c r="C28" s="78" t="s">
        <v>93</v>
      </c>
      <c r="D28" s="78"/>
      <c r="E28" s="22" t="s">
        <v>92</v>
      </c>
      <c r="F28" s="33"/>
      <c r="G28" s="24">
        <f>ROUNDUP(F28/100,0)</f>
        <v>0</v>
      </c>
      <c r="H28" s="25">
        <v>100</v>
      </c>
      <c r="I28" s="26">
        <v>4.5</v>
      </c>
      <c r="J28" s="26">
        <v>0.059</v>
      </c>
      <c r="K28" s="27">
        <f t="shared" si="2"/>
        <v>0</v>
      </c>
      <c r="L28" s="29">
        <f>G28*J28</f>
        <v>0</v>
      </c>
    </row>
    <row r="29" spans="2:12" ht="24" customHeight="1">
      <c r="B29" s="21">
        <v>25</v>
      </c>
      <c r="C29" s="78" t="s">
        <v>94</v>
      </c>
      <c r="D29" s="78"/>
      <c r="E29" s="34" t="s">
        <v>27</v>
      </c>
      <c r="F29" s="30"/>
      <c r="G29" s="24">
        <f>ROUNDUP(F29/2,0)</f>
        <v>0</v>
      </c>
      <c r="H29" s="25">
        <v>2</v>
      </c>
      <c r="I29" s="26">
        <v>30</v>
      </c>
      <c r="J29" s="26">
        <v>0.18225</v>
      </c>
      <c r="K29" s="27">
        <f t="shared" si="2"/>
        <v>0</v>
      </c>
      <c r="L29" s="29">
        <f t="shared" si="1"/>
        <v>0</v>
      </c>
    </row>
    <row r="30" spans="2:12" ht="24" customHeight="1">
      <c r="B30" s="21">
        <v>26</v>
      </c>
      <c r="C30" s="78" t="s">
        <v>95</v>
      </c>
      <c r="D30" s="78"/>
      <c r="E30" s="34" t="s">
        <v>27</v>
      </c>
      <c r="F30" s="30"/>
      <c r="G30" s="24">
        <f>ROUNDUP(F30/3,0)</f>
        <v>0</v>
      </c>
      <c r="H30" s="25">
        <v>3</v>
      </c>
      <c r="I30" s="26">
        <v>30</v>
      </c>
      <c r="J30" s="26">
        <v>0.18225</v>
      </c>
      <c r="K30" s="27">
        <f t="shared" si="2"/>
        <v>0</v>
      </c>
      <c r="L30" s="29">
        <f t="shared" si="1"/>
        <v>0</v>
      </c>
    </row>
    <row r="31" spans="2:12" ht="24" customHeight="1">
      <c r="B31" s="21">
        <v>24</v>
      </c>
      <c r="C31" s="74"/>
      <c r="D31" s="74"/>
      <c r="E31" s="34"/>
      <c r="F31" s="35"/>
      <c r="G31" s="24">
        <f>ROUNDUP(F31/100,0)</f>
        <v>0</v>
      </c>
      <c r="H31" s="25"/>
      <c r="I31" s="26"/>
      <c r="J31" s="26"/>
      <c r="K31" s="27"/>
      <c r="L31" s="32">
        <f t="shared" si="1"/>
        <v>0</v>
      </c>
    </row>
    <row r="32" spans="2:12" ht="33" customHeight="1">
      <c r="B32" s="75" t="s">
        <v>96</v>
      </c>
      <c r="C32" s="75"/>
      <c r="D32" s="75"/>
      <c r="E32" s="75"/>
      <c r="F32" s="75"/>
      <c r="G32" s="76">
        <f>SUM(G5:G31)</f>
        <v>0</v>
      </c>
      <c r="H32" s="76"/>
      <c r="I32" s="76"/>
      <c r="J32" s="77">
        <f>SUM(K5:K31)</f>
        <v>0</v>
      </c>
      <c r="K32" s="77"/>
      <c r="L32" s="36">
        <f>SUM(L5:L31)</f>
        <v>0</v>
      </c>
    </row>
    <row r="33" spans="2:12" ht="28.5" customHeight="1">
      <c r="B33" s="70" t="s">
        <v>97</v>
      </c>
      <c r="C33" s="70"/>
      <c r="D33" s="70"/>
      <c r="E33" s="70"/>
      <c r="F33" s="70"/>
      <c r="G33" s="71" t="s">
        <v>98</v>
      </c>
      <c r="H33" s="71"/>
      <c r="I33" s="71"/>
      <c r="J33" s="72" t="s">
        <v>47</v>
      </c>
      <c r="K33" s="72"/>
      <c r="L33" s="37" t="s">
        <v>99</v>
      </c>
    </row>
    <row r="34" spans="2:10" ht="28.5" customHeight="1">
      <c r="B34" s="73" t="s">
        <v>100</v>
      </c>
      <c r="C34" s="73"/>
      <c r="D34" s="73"/>
      <c r="E34" s="73"/>
      <c r="F34" s="73"/>
      <c r="G34" s="38"/>
      <c r="H34" s="39"/>
      <c r="I34" s="40"/>
      <c r="J34" s="40"/>
    </row>
  </sheetData>
  <sheetProtection selectLockedCells="1" selectUnlockedCells="1"/>
  <mergeCells count="36">
    <mergeCell ref="B2:L3"/>
    <mergeCell ref="C4:D4"/>
    <mergeCell ref="C5:D5"/>
    <mergeCell ref="C6:D6"/>
    <mergeCell ref="C11:D11"/>
    <mergeCell ref="C12:D12"/>
    <mergeCell ref="C13:D13"/>
    <mergeCell ref="C14:D14"/>
    <mergeCell ref="C7:D7"/>
    <mergeCell ref="C8:D8"/>
    <mergeCell ref="C9:D9"/>
    <mergeCell ref="C10:D10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B33:F33"/>
    <mergeCell ref="G33:I33"/>
    <mergeCell ref="J33:K33"/>
    <mergeCell ref="B34:F34"/>
    <mergeCell ref="C31:D31"/>
    <mergeCell ref="B32:F32"/>
    <mergeCell ref="G32:I32"/>
    <mergeCell ref="J32:K32"/>
  </mergeCells>
  <conditionalFormatting sqref="L5:L31">
    <cfRule type="cellIs" priority="1" dxfId="2" operator="greaterThan" stopIfTrue="1">
      <formula>0</formula>
    </cfRule>
    <cfRule type="cellIs" priority="2" dxfId="3" operator="lessThanOr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42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2020-09-02T05:57:00Z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